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Z:\Highways\CMB\MatTestingCert\Materials\HMA\2025\"/>
    </mc:Choice>
  </mc:AlternateContent>
  <xr:revisionPtr revIDLastSave="0" documentId="8_{D670B340-62D4-4266-9B08-73C3BB41F5EF}" xr6:coauthVersionLast="47" xr6:coauthVersionMax="47" xr10:uidLastSave="{00000000-0000-0000-0000-000000000000}"/>
  <workbookProtection workbookAlgorithmName="SHA-512" workbookHashValue="WDPY80wB4ZQ7oprf7z6IgkjXPJJfoS1RdpiqPxtQw/BRcUtqNtJ4Vv03IzJ/dHiFhNqnevKvhEwI3gWUxRIVnQ==" workbookSaltValue="y9WcGMvTOm9jx3HiZ4r+gw==" workbookSpinCount="100000" lockStructure="1"/>
  <bookViews>
    <workbookView xWindow="-110" yWindow="-110" windowWidth="19420" windowHeight="10300" xr2:uid="{89410F21-F827-4ACF-BF37-04DBB66D0C8A}"/>
  </bookViews>
  <sheets>
    <sheet name="Superpave Tests" sheetId="1" r:id="rId1"/>
    <sheet name="Performance Tests" sheetId="2" r:id="rId2"/>
  </sheets>
  <externalReferences>
    <externalReference r:id="rId3"/>
  </externalReferences>
  <definedNames>
    <definedName name="_xlnm.Print_Area" localSheetId="1">'Performance Tests'!$A$1:$H$58</definedName>
    <definedName name="TestType">[1]Data!$Q$2:$Q$3</definedName>
    <definedName name="TypeOfTechnology">[1]Data!$Q$5:$Q$6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I58" i="2" l="1"/>
  <c r="H58" i="2"/>
  <c r="I57" i="2"/>
  <c r="I56" i="2"/>
  <c r="I55" i="2"/>
  <c r="H57" i="2"/>
  <c r="H56" i="2"/>
  <c r="H55" i="2"/>
  <c r="G58" i="2"/>
  <c r="G57" i="2"/>
  <c r="C57" i="2"/>
  <c r="D57" i="2"/>
  <c r="E57" i="2"/>
  <c r="F57" i="2"/>
  <c r="B57" i="2"/>
  <c r="H38" i="2"/>
  <c r="H39" i="2"/>
  <c r="H40" i="2"/>
  <c r="H41" i="2"/>
  <c r="H42" i="2"/>
  <c r="H37" i="2"/>
  <c r="G38" i="2"/>
  <c r="G39" i="2"/>
  <c r="M39" i="2" s="1"/>
  <c r="G40" i="2"/>
  <c r="M40" i="2" s="1"/>
  <c r="G41" i="2"/>
  <c r="G42" i="2"/>
  <c r="M42" i="2" s="1"/>
  <c r="G37" i="2"/>
  <c r="M37" i="2" s="1"/>
  <c r="G52" i="2"/>
  <c r="G53" i="2"/>
  <c r="G54" i="2"/>
  <c r="G55" i="2"/>
  <c r="G56" i="2"/>
  <c r="G51" i="2"/>
  <c r="G50" i="2"/>
  <c r="G20" i="1"/>
  <c r="F20" i="1"/>
  <c r="E20" i="1"/>
  <c r="D16" i="2"/>
  <c r="C23" i="2"/>
  <c r="B23" i="2"/>
  <c r="D24" i="2"/>
  <c r="B24" i="2"/>
  <c r="C24" i="2"/>
  <c r="D23" i="2"/>
  <c r="D22" i="2"/>
  <c r="D21" i="2"/>
  <c r="D20" i="2"/>
  <c r="D19" i="2"/>
  <c r="D18" i="2"/>
  <c r="D17" i="2"/>
  <c r="F33" i="2"/>
  <c r="F34" i="2"/>
  <c r="F35" i="2"/>
  <c r="F36" i="2"/>
  <c r="F37" i="2"/>
  <c r="F38" i="2"/>
  <c r="F39" i="2"/>
  <c r="F40" i="2"/>
  <c r="F41" i="2"/>
  <c r="F42" i="2"/>
  <c r="F32" i="2"/>
  <c r="M41" i="2"/>
  <c r="M38" i="2"/>
  <c r="F14" i="1" l="1"/>
  <c r="G14" i="1"/>
  <c r="G13" i="1"/>
  <c r="F13" i="1"/>
  <c r="F40" i="1"/>
  <c r="G40" i="1"/>
  <c r="E40" i="1"/>
  <c r="F19" i="1"/>
  <c r="G19" i="1"/>
  <c r="F36" i="1"/>
  <c r="G36" i="1"/>
  <c r="F37" i="1"/>
  <c r="G37" i="1"/>
  <c r="F38" i="1"/>
  <c r="G38" i="1"/>
  <c r="F39" i="1"/>
  <c r="G39" i="1"/>
  <c r="E39" i="1"/>
  <c r="E38" i="1"/>
  <c r="E37" i="1"/>
  <c r="E36" i="1"/>
  <c r="E19" i="1"/>
</calcChain>
</file>

<file path=xl/sharedStrings.xml><?xml version="1.0" encoding="utf-8"?>
<sst xmlns="http://schemas.openxmlformats.org/spreadsheetml/2006/main" count="147" uniqueCount="102">
  <si>
    <t xml:space="preserve">Mix Design ID: </t>
  </si>
  <si>
    <t xml:space="preserve">Tested by: </t>
  </si>
  <si>
    <t>Property</t>
  </si>
  <si>
    <t>Sample 1</t>
  </si>
  <si>
    <t>Sample 2</t>
  </si>
  <si>
    <t>Sample 3</t>
  </si>
  <si>
    <t>Job Aim Lower</t>
  </si>
  <si>
    <t>Job Aim Upper</t>
  </si>
  <si>
    <t>Air Voids</t>
  </si>
  <si>
    <t>VMA</t>
  </si>
  <si>
    <t>50 mm</t>
  </si>
  <si>
    <t>25 mm</t>
  </si>
  <si>
    <t>19 mm</t>
  </si>
  <si>
    <t>12.5 mm</t>
  </si>
  <si>
    <t>9.5 mm</t>
  </si>
  <si>
    <t>4.75 mm</t>
  </si>
  <si>
    <t>2.36 mm</t>
  </si>
  <si>
    <t>1.18 mm</t>
  </si>
  <si>
    <t>0.6 mm</t>
  </si>
  <si>
    <t>0.3 mm</t>
  </si>
  <si>
    <t>0.15 mm</t>
  </si>
  <si>
    <t>0.075 mm</t>
  </si>
  <si>
    <t>Test Date:</t>
  </si>
  <si>
    <t>Dust Proportion</t>
  </si>
  <si>
    <r>
      <t xml:space="preserve">Mix Temp </t>
    </r>
    <r>
      <rPr>
        <sz val="11"/>
        <color theme="1"/>
        <rFont val="Calibri"/>
        <family val="2"/>
      </rPr>
      <t>°</t>
    </r>
    <r>
      <rPr>
        <sz val="11"/>
        <color theme="1"/>
        <rFont val="Calibri"/>
        <family val="2"/>
        <scheme val="minor"/>
      </rPr>
      <t>C</t>
    </r>
  </si>
  <si>
    <t>VERMONT AGENCY OF TRANSPORTATION
BITUMINOUS CONCRETE MATERIALS
SUPERPAVE MIX DESIGN VALIDATION</t>
  </si>
  <si>
    <t xml:space="preserve">Sample Type (Plant or Lab) </t>
  </si>
  <si>
    <t>Producer/Plant:</t>
  </si>
  <si>
    <t>-</t>
  </si>
  <si>
    <t>Test Binder Supplier:</t>
  </si>
  <si>
    <t>Test Binder Grade:</t>
  </si>
  <si>
    <t>VERMONT AGENCY OF TRANSPORTATION
BITUMINOUS CONCRETE MATERIALS
PERFORMANCE VALIDATION</t>
  </si>
  <si>
    <t>Hamburg Wheel Tracker</t>
  </si>
  <si>
    <t>Left</t>
  </si>
  <si>
    <t xml:space="preserve">Right </t>
  </si>
  <si>
    <t>Average</t>
  </si>
  <si>
    <t>Stripping Inflection Point (SIP)</t>
  </si>
  <si>
    <t>Strip/Creep Ratio</t>
  </si>
  <si>
    <t>Machine Make/Model:</t>
  </si>
  <si>
    <t xml:space="preserve">Stripping? </t>
  </si>
  <si>
    <t>Illinois Flexibility Index Test</t>
  </si>
  <si>
    <t>A</t>
  </si>
  <si>
    <t>B</t>
  </si>
  <si>
    <t>C</t>
  </si>
  <si>
    <t>D</t>
  </si>
  <si>
    <t>COV</t>
  </si>
  <si>
    <t>IDEAL-CT</t>
  </si>
  <si>
    <t xml:space="preserve">Test Additive: </t>
  </si>
  <si>
    <t>CT-Index</t>
  </si>
  <si>
    <t xml:space="preserve">Enter Performance Test Results from either a Plant Trial Drop or Batch of Lab Mix. Performance Test Results submitted as part of carryover requests must be from Batch of Lab Mix.
Yellow Fields should be inputted by the Submitter.  </t>
  </si>
  <si>
    <t xml:space="preserve">Enter Test Results for Three Samples from either a Plant Trial Drop or Batch of Lab Mix. 
Yellow Fields should be inputted by the Submitter.  
Recommend taking the Job Aims from Sheet 5 of Original Mix Design. </t>
  </si>
  <si>
    <t>Avg. Thickness, t (mm)</t>
  </si>
  <si>
    <t>Avg. diameter, D (mm)</t>
  </si>
  <si>
    <r>
      <t>Work of Failure, W</t>
    </r>
    <r>
      <rPr>
        <vertAlign val="subscript"/>
        <sz val="11"/>
        <rFont val="Calibri"/>
        <family val="2"/>
        <scheme val="minor"/>
      </rPr>
      <t>f</t>
    </r>
    <r>
      <rPr>
        <sz val="11"/>
        <rFont val="Calibri"/>
        <family val="2"/>
        <scheme val="minor"/>
      </rPr>
      <t xml:space="preserve"> (J)</t>
    </r>
  </si>
  <si>
    <r>
      <t>Bulk Specific Gravity, G</t>
    </r>
    <r>
      <rPr>
        <vertAlign val="subscript"/>
        <sz val="11"/>
        <rFont val="Calibri"/>
        <family val="2"/>
        <scheme val="minor"/>
      </rPr>
      <t>mb</t>
    </r>
  </si>
  <si>
    <r>
      <t>Air Voids, P</t>
    </r>
    <r>
      <rPr>
        <vertAlign val="subscript"/>
        <sz val="11"/>
        <rFont val="Calibri"/>
        <family val="2"/>
        <scheme val="minor"/>
      </rPr>
      <t>a</t>
    </r>
    <r>
      <rPr>
        <sz val="11"/>
        <rFont val="Calibri"/>
        <family val="2"/>
        <scheme val="minor"/>
      </rPr>
      <t xml:space="preserve"> (%)</t>
    </r>
  </si>
  <si>
    <t>Avg. ligament length, l (mm)</t>
  </si>
  <si>
    <t>Notch length, a (mm)</t>
  </si>
  <si>
    <r>
      <t>Peak load, P</t>
    </r>
    <r>
      <rPr>
        <vertAlign val="subscript"/>
        <sz val="11"/>
        <rFont val="Calibri"/>
        <family val="2"/>
        <scheme val="minor"/>
      </rPr>
      <t>max</t>
    </r>
    <r>
      <rPr>
        <sz val="10"/>
        <rFont val="Calibri"/>
        <family val="2"/>
        <scheme val="minor"/>
      </rPr>
      <t xml:space="preserve"> (kN)</t>
    </r>
  </si>
  <si>
    <r>
      <t>LLD @ peak load, u</t>
    </r>
    <r>
      <rPr>
        <vertAlign val="subscript"/>
        <sz val="11"/>
        <color theme="1"/>
        <rFont val="Calibri"/>
        <family val="2"/>
        <scheme val="minor"/>
      </rPr>
      <t xml:space="preserve">0 </t>
    </r>
    <r>
      <rPr>
        <sz val="11"/>
        <color theme="1"/>
        <rFont val="Calibri"/>
        <family val="2"/>
        <scheme val="minor"/>
      </rPr>
      <t>(mm)</t>
    </r>
  </si>
  <si>
    <r>
      <t>Crit. Displacement, u</t>
    </r>
    <r>
      <rPr>
        <vertAlign val="subscript"/>
        <sz val="11"/>
        <color theme="1"/>
        <rFont val="Calibri"/>
        <family val="2"/>
        <scheme val="minor"/>
      </rPr>
      <t>1</t>
    </r>
    <r>
      <rPr>
        <sz val="11"/>
        <color theme="1"/>
        <rFont val="Calibri"/>
        <family val="2"/>
        <scheme val="minor"/>
      </rPr>
      <t xml:space="preserve"> (mm)</t>
    </r>
  </si>
  <si>
    <t>Post - peak slope, m (kN/mm)</t>
  </si>
  <si>
    <r>
      <t>Fracture Energy, G</t>
    </r>
    <r>
      <rPr>
        <vertAlign val="subscript"/>
        <sz val="11"/>
        <rFont val="Calibri"/>
        <family val="2"/>
        <scheme val="minor"/>
      </rPr>
      <t>f</t>
    </r>
    <r>
      <rPr>
        <sz val="11"/>
        <rFont val="Calibri"/>
        <family val="2"/>
        <scheme val="minor"/>
      </rPr>
      <t xml:space="preserve"> (J/m</t>
    </r>
    <r>
      <rPr>
        <vertAlign val="superscript"/>
        <sz val="11"/>
        <rFont val="Calibri"/>
        <family val="2"/>
        <scheme val="minor"/>
      </rPr>
      <t>2</t>
    </r>
    <r>
      <rPr>
        <sz val="11"/>
        <rFont val="Calibri"/>
        <family val="2"/>
        <scheme val="minor"/>
      </rPr>
      <t>)</t>
    </r>
  </si>
  <si>
    <t>Flexibility Index, FI</t>
  </si>
  <si>
    <t>Paired Specimen Air Voids (%)</t>
  </si>
  <si>
    <t>Max Rut Depth @ 20k passes (mm)</t>
  </si>
  <si>
    <t>Maximum Number of Passes</t>
  </si>
  <si>
    <t>SIP Depth (mm)</t>
  </si>
  <si>
    <r>
      <t>Strip Slope (mm/1000</t>
    </r>
    <r>
      <rPr>
        <vertAlign val="superscript"/>
        <sz val="11"/>
        <color theme="1"/>
        <rFont val="Calibri"/>
        <family val="2"/>
        <scheme val="minor"/>
      </rPr>
      <t>th</t>
    </r>
    <r>
      <rPr>
        <sz val="11"/>
        <color theme="1"/>
        <rFont val="Calibri"/>
        <family val="2"/>
        <scheme val="minor"/>
      </rPr>
      <t xml:space="preserve"> pass)</t>
    </r>
  </si>
  <si>
    <r>
      <t>Creep Slope (mm/1000</t>
    </r>
    <r>
      <rPr>
        <vertAlign val="superscript"/>
        <sz val="11"/>
        <color theme="1"/>
        <rFont val="Calibri"/>
        <family val="2"/>
        <scheme val="minor"/>
      </rPr>
      <t>th</t>
    </r>
    <r>
      <rPr>
        <sz val="11"/>
        <color theme="1"/>
        <rFont val="Calibri"/>
        <family val="2"/>
        <scheme val="minor"/>
      </rPr>
      <t xml:space="preserve"> pass)</t>
    </r>
  </si>
  <si>
    <r>
      <t>Bulk, G</t>
    </r>
    <r>
      <rPr>
        <vertAlign val="subscript"/>
        <sz val="11"/>
        <rFont val="Calibri"/>
        <family val="2"/>
        <scheme val="minor"/>
      </rPr>
      <t>mb</t>
    </r>
  </si>
  <si>
    <r>
      <t>Air Voids P</t>
    </r>
    <r>
      <rPr>
        <vertAlign val="subscript"/>
        <sz val="11"/>
        <rFont val="Calibri"/>
        <family val="2"/>
        <scheme val="minor"/>
      </rPr>
      <t>a</t>
    </r>
    <r>
      <rPr>
        <sz val="11"/>
        <color theme="1"/>
        <rFont val="Calibri"/>
        <family val="2"/>
        <scheme val="minor"/>
      </rPr>
      <t xml:space="preserve"> (%)</t>
    </r>
  </si>
  <si>
    <r>
      <t>Displacement, l</t>
    </r>
    <r>
      <rPr>
        <vertAlign val="subscript"/>
        <sz val="11"/>
        <rFont val="Calibri"/>
        <family val="2"/>
        <scheme val="minor"/>
      </rPr>
      <t>75</t>
    </r>
    <r>
      <rPr>
        <sz val="11"/>
        <color theme="1"/>
        <rFont val="Calibri"/>
        <family val="2"/>
        <scheme val="minor"/>
      </rPr>
      <t xml:space="preserve"> (mm)</t>
    </r>
  </si>
  <si>
    <r>
      <t>Post - peak slope, |m</t>
    </r>
    <r>
      <rPr>
        <vertAlign val="subscript"/>
        <sz val="11"/>
        <rFont val="Calibri"/>
        <family val="2"/>
        <scheme val="minor"/>
      </rPr>
      <t>75</t>
    </r>
    <r>
      <rPr>
        <sz val="11"/>
        <rFont val="Calibri"/>
        <family val="2"/>
        <scheme val="minor"/>
      </rPr>
      <t>| (N/mm)</t>
    </r>
  </si>
  <si>
    <r>
      <t>Fracture Energy, G</t>
    </r>
    <r>
      <rPr>
        <vertAlign val="subscript"/>
        <sz val="11"/>
        <rFont val="Calibri"/>
        <family val="2"/>
        <scheme val="minor"/>
      </rPr>
      <t>f</t>
    </r>
    <r>
      <rPr>
        <sz val="11"/>
        <rFont val="Calibri"/>
        <family val="2"/>
        <scheme val="minor"/>
      </rPr>
      <t xml:space="preserve"> (J/m</t>
    </r>
    <r>
      <rPr>
        <vertAlign val="superscript"/>
        <sz val="11"/>
        <rFont val="Calibri"/>
        <family val="2"/>
        <scheme val="minor"/>
      </rPr>
      <t>2</t>
    </r>
    <r>
      <rPr>
        <sz val="11"/>
        <color theme="1"/>
        <rFont val="Calibri"/>
        <family val="2"/>
        <scheme val="minor"/>
      </rPr>
      <t>)</t>
    </r>
  </si>
  <si>
    <r>
      <t>Combined Aggregate Bulk, G</t>
    </r>
    <r>
      <rPr>
        <vertAlign val="subscript"/>
        <sz val="11"/>
        <color theme="1"/>
        <rFont val="Calibri"/>
        <family val="2"/>
        <scheme val="minor"/>
      </rPr>
      <t>sb</t>
    </r>
  </si>
  <si>
    <r>
      <t>Binder SG, G</t>
    </r>
    <r>
      <rPr>
        <vertAlign val="subscript"/>
        <sz val="11"/>
        <color theme="1"/>
        <rFont val="Calibri"/>
        <family val="2"/>
        <scheme val="minor"/>
      </rPr>
      <t>b</t>
    </r>
  </si>
  <si>
    <r>
      <t>Mix Bulk, G</t>
    </r>
    <r>
      <rPr>
        <vertAlign val="subscript"/>
        <sz val="11"/>
        <color theme="1"/>
        <rFont val="Calibri"/>
        <family val="2"/>
        <scheme val="minor"/>
      </rPr>
      <t>mb</t>
    </r>
  </si>
  <si>
    <r>
      <t>Mix Max, G</t>
    </r>
    <r>
      <rPr>
        <vertAlign val="subscript"/>
        <sz val="11"/>
        <color theme="1"/>
        <rFont val="Calibri"/>
        <family val="2"/>
        <scheme val="minor"/>
      </rPr>
      <t>mm</t>
    </r>
  </si>
  <si>
    <t>37.5 mm</t>
  </si>
  <si>
    <r>
      <t>Slip Binder Content, P</t>
    </r>
    <r>
      <rPr>
        <vertAlign val="subscript"/>
        <sz val="11"/>
        <color theme="1"/>
        <rFont val="Calibri"/>
        <family val="2"/>
        <scheme val="minor"/>
      </rPr>
      <t>b</t>
    </r>
  </si>
  <si>
    <r>
      <t>Eff SG Agg, G</t>
    </r>
    <r>
      <rPr>
        <vertAlign val="subscript"/>
        <sz val="11"/>
        <color theme="1"/>
        <rFont val="Calibri"/>
        <family val="2"/>
        <scheme val="minor"/>
      </rPr>
      <t>se</t>
    </r>
  </si>
  <si>
    <r>
      <t>Absorption, P</t>
    </r>
    <r>
      <rPr>
        <vertAlign val="subscript"/>
        <sz val="11"/>
        <color theme="1"/>
        <rFont val="Calibri"/>
        <family val="2"/>
        <scheme val="minor"/>
      </rPr>
      <t>ba</t>
    </r>
  </si>
  <si>
    <r>
      <t>Eff Binder Content, P</t>
    </r>
    <r>
      <rPr>
        <vertAlign val="subscript"/>
        <sz val="11"/>
        <color theme="1"/>
        <rFont val="Calibri"/>
        <family val="2"/>
        <scheme val="minor"/>
      </rPr>
      <t xml:space="preserve">be </t>
    </r>
  </si>
  <si>
    <r>
      <t>G</t>
    </r>
    <r>
      <rPr>
        <vertAlign val="subscript"/>
        <sz val="11"/>
        <color theme="1"/>
        <rFont val="Calibri"/>
        <family val="2"/>
        <scheme val="minor"/>
      </rPr>
      <t>se</t>
    </r>
    <r>
      <rPr>
        <sz val="11"/>
        <color theme="1"/>
        <rFont val="Calibri"/>
        <family val="2"/>
        <scheme val="minor"/>
      </rPr>
      <t>&gt;G</t>
    </r>
    <r>
      <rPr>
        <vertAlign val="subscript"/>
        <sz val="11"/>
        <color theme="1"/>
        <rFont val="Calibri"/>
        <family val="2"/>
        <scheme val="minor"/>
      </rPr>
      <t>sb</t>
    </r>
  </si>
  <si>
    <t>E</t>
  </si>
  <si>
    <t>Standard Deviation</t>
  </si>
  <si>
    <t>HWTT Report Instructions</t>
  </si>
  <si>
    <t>When inputting the Stripping Inflection Point (SIP), report as "N/A" in the following circumstances:</t>
  </si>
  <si>
    <t>1. No SIP is reported from your machine.</t>
  </si>
  <si>
    <t>2. The SIP calculated in your machine is a negative value.</t>
  </si>
  <si>
    <t>3. The SIP calculated in your machine is greater than 20,000 passes</t>
  </si>
  <si>
    <t>4. The SIP is deemed "Invalid" as described below.</t>
  </si>
  <si>
    <t>When SIP is reported as "N/A", SIP Depth, Strip Slope, and Creep Slope should also be reported as "N/A"</t>
  </si>
  <si>
    <t>Do NOT input Strip Slope and Creep Slope as negative numbers or in scientific notation! Results should be inputted in decimal form</t>
  </si>
  <si>
    <t>Invalid SIP Guidelines:</t>
  </si>
  <si>
    <t>An SIP is considered "Invalid" if any of the two following conditions are met:</t>
  </si>
  <si>
    <t>a) The ratio between the stripping slope and the creep slope is less than 3.0</t>
  </si>
  <si>
    <t>b) The stripping slope is less than 0.63 mm/1,000 passes (0.00063)</t>
  </si>
  <si>
    <r>
      <t xml:space="preserve">If deformation difference (rut depth) between the 2 sets of specimens exceeds 6 mm </t>
    </r>
    <r>
      <rPr>
        <b/>
        <u/>
        <sz val="11"/>
        <color rgb="FFFF0000"/>
        <rFont val="Calibri"/>
        <family val="2"/>
        <scheme val="minor"/>
      </rPr>
      <t>and</t>
    </r>
    <r>
      <rPr>
        <b/>
        <sz val="11"/>
        <color rgb="FFFF0000"/>
        <rFont val="Calibri"/>
        <family val="2"/>
        <scheme val="minor"/>
      </rPr>
      <t xml:space="preserve"> one set of specimens is deemed passing and one set of specimens is deemed failing, test is inconclusive and must be re-done</t>
    </r>
  </si>
  <si>
    <t>If there are less than 3 specimens meeting the tolerances specified in AASHTO T 393, results are inconclusive and test must be re-done</t>
  </si>
  <si>
    <r>
      <t xml:space="preserve">If </t>
    </r>
    <r>
      <rPr>
        <b/>
        <u/>
        <sz val="11"/>
        <color rgb="FFFF0000"/>
        <rFont val="Calibri"/>
        <family val="2"/>
        <scheme val="minor"/>
      </rPr>
      <t>eithe</t>
    </r>
    <r>
      <rPr>
        <b/>
        <sz val="11"/>
        <color rgb="FFFF0000"/>
        <rFont val="Calibri"/>
        <family val="2"/>
        <scheme val="minor"/>
      </rPr>
      <t xml:space="preserve">r (1) there are less than 3 specimens meeting the tolerances specified in ASTM D8225, or (2) CT-Index COV is </t>
    </r>
    <r>
      <rPr>
        <b/>
        <sz val="11"/>
        <color rgb="FFFF0000"/>
        <rFont val="Aptos Narrow"/>
        <family val="2"/>
      </rPr>
      <t>≥</t>
    </r>
    <r>
      <rPr>
        <b/>
        <sz val="11"/>
        <color rgb="FFFF0000"/>
        <rFont val="Calibri"/>
        <family val="2"/>
      </rPr>
      <t>35.0%, results are inconclusive and test must be re-done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</si>
</sst>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
    <numFmt numFmtId="165" formatCode="0.0"/>
    <numFmt numFmtId="166" formatCode="0.0%"/>
  </numFmts>
  <fonts count="20" x14ac:knownFonts="1">
    <font>
      <sz val="11"/>
      <color theme="1"/>
      <name val="Calibri"/>
      <family val="2"/>
      <scheme val="minor"/>
    </font>
    <font>
      <sz val="11"/>
      <color theme="1"/>
      <name val="Calibri"/>
      <family val="2"/>
      <scheme val="minor"/>
    </font>
    <font>
      <b/>
      <sz val="11"/>
      <color theme="1"/>
      <name val="Calibri"/>
      <family val="2"/>
      <scheme val="minor"/>
    </font>
    <font>
      <sz val="11"/>
      <color theme="1"/>
      <name val="Calibri"/>
      <family val="2"/>
    </font>
    <font>
      <b/>
      <sz val="12"/>
      <color theme="1"/>
      <name val="Calibri"/>
      <family val="2"/>
      <scheme val="minor"/>
    </font>
    <font>
      <sz val="11"/>
      <name val="Calibri"/>
      <family val="2"/>
      <scheme val="minor"/>
    </font>
    <font>
      <sz val="10"/>
      <name val="Calibri"/>
      <family val="2"/>
      <scheme val="minor"/>
    </font>
    <font>
      <sz val="9"/>
      <color theme="1"/>
      <name val="Calibri"/>
      <family val="2"/>
      <scheme val="minor"/>
    </font>
    <font>
      <vertAlign val="subscript"/>
      <sz val="11"/>
      <name val="Calibri"/>
      <family val="2"/>
      <scheme val="minor"/>
    </font>
    <font>
      <vertAlign val="superscript"/>
      <sz val="11"/>
      <name val="Calibri"/>
      <family val="2"/>
      <scheme val="minor"/>
    </font>
    <font>
      <vertAlign val="subscript"/>
      <sz val="11"/>
      <color theme="1"/>
      <name val="Calibri"/>
      <family val="2"/>
      <scheme val="minor"/>
    </font>
    <font>
      <sz val="10"/>
      <color theme="1"/>
      <name val="Calibri"/>
      <family val="2"/>
      <scheme val="minor"/>
    </font>
    <font>
      <vertAlign val="superscript"/>
      <sz val="11"/>
      <color theme="1"/>
      <name val="Calibri"/>
      <family val="2"/>
      <scheme val="minor"/>
    </font>
    <font>
      <b/>
      <i/>
      <u/>
      <sz val="11"/>
      <name val="Calibri"/>
      <family val="2"/>
      <scheme val="minor"/>
    </font>
    <font>
      <b/>
      <sz val="11"/>
      <name val="Calibri"/>
      <family val="2"/>
      <scheme val="minor"/>
    </font>
    <font>
      <b/>
      <u/>
      <sz val="11"/>
      <color rgb="FFFF0000"/>
      <name val="Calibri"/>
      <family val="2"/>
      <scheme val="minor"/>
    </font>
    <font>
      <b/>
      <u/>
      <sz val="11"/>
      <name val="Calibri"/>
      <family val="2"/>
      <scheme val="minor"/>
    </font>
    <font>
      <b/>
      <sz val="11"/>
      <color rgb="FFFF0000"/>
      <name val="Calibri"/>
      <family val="2"/>
      <scheme val="minor"/>
    </font>
    <font>
      <b/>
      <sz val="11"/>
      <color rgb="FFFF0000"/>
      <name val="Aptos Narrow"/>
      <family val="2"/>
    </font>
    <font>
      <b/>
      <sz val="11"/>
      <color rgb="FFFF0000"/>
      <name val="Calibri"/>
      <family val="2"/>
    </font>
  </fonts>
  <fills count="4">
    <fill>
      <patternFill patternType="none"/>
    </fill>
    <fill>
      <patternFill patternType="gray125"/>
    </fill>
    <fill>
      <patternFill patternType="solid">
        <fgColor rgb="FFFFFFCC"/>
      </patternFill>
    </fill>
    <fill>
      <patternFill patternType="solid">
        <fgColor rgb="FFFFFFCC"/>
        <bgColor indexed="64"/>
      </patternFill>
    </fill>
  </fills>
  <borders count="3">
    <border>
      <left/>
      <right/>
      <top/>
      <bottom/>
      <diagonal/>
    </border>
    <border>
      <left style="thin">
        <color rgb="FFB2B2B2"/>
      </left>
      <right style="thin">
        <color rgb="FFB2B2B2"/>
      </right>
      <top style="thin">
        <color rgb="FFB2B2B2"/>
      </top>
      <bottom style="thin">
        <color rgb="FFB2B2B2"/>
      </bottom>
      <diagonal/>
    </border>
    <border>
      <left style="thin">
        <color indexed="64"/>
      </left>
      <right/>
      <top/>
      <bottom/>
      <diagonal/>
    </border>
  </borders>
  <cellStyleXfs count="2">
    <xf numFmtId="0" fontId="0" fillId="0" borderId="0"/>
    <xf numFmtId="0" fontId="1" fillId="2" borderId="1" applyNumberFormat="0" applyFont="0" applyAlignment="0" applyProtection="0"/>
  </cellStyleXfs>
  <cellXfs count="31">
    <xf numFmtId="0" fontId="0" fillId="0" borderId="0" xfId="0"/>
    <xf numFmtId="0" fontId="2" fillId="0" borderId="0" xfId="0" applyFont="1"/>
    <xf numFmtId="0" fontId="0" fillId="0" borderId="0" xfId="0" applyProtection="1">
      <protection locked="0"/>
    </xf>
    <xf numFmtId="0" fontId="0" fillId="2" borderId="1" xfId="1" applyFont="1" applyProtection="1">
      <protection locked="0"/>
    </xf>
    <xf numFmtId="164" fontId="0" fillId="2" borderId="1" xfId="1" applyNumberFormat="1" applyFont="1" applyProtection="1">
      <protection locked="0"/>
    </xf>
    <xf numFmtId="164" fontId="0" fillId="0" borderId="0" xfId="0" applyNumberFormat="1"/>
    <xf numFmtId="1" fontId="0" fillId="2" borderId="1" xfId="1" applyNumberFormat="1" applyFont="1" applyProtection="1">
      <protection locked="0"/>
    </xf>
    <xf numFmtId="165" fontId="0" fillId="0" borderId="0" xfId="0" applyNumberFormat="1"/>
    <xf numFmtId="165" fontId="0" fillId="2" borderId="1" xfId="1" applyNumberFormat="1" applyFont="1" applyProtection="1">
      <protection locked="0"/>
    </xf>
    <xf numFmtId="2" fontId="0" fillId="0" borderId="0" xfId="0" applyNumberFormat="1"/>
    <xf numFmtId="0" fontId="7" fillId="2" borderId="1" xfId="1" applyFont="1" applyProtection="1">
      <protection locked="0"/>
    </xf>
    <xf numFmtId="2" fontId="0" fillId="2" borderId="1" xfId="1" applyNumberFormat="1" applyFont="1" applyProtection="1">
      <protection locked="0"/>
    </xf>
    <xf numFmtId="165" fontId="0" fillId="0" borderId="0" xfId="0" quotePrefix="1" applyNumberFormat="1"/>
    <xf numFmtId="164" fontId="0" fillId="0" borderId="0" xfId="0" quotePrefix="1" applyNumberFormat="1"/>
    <xf numFmtId="166" fontId="0" fillId="0" borderId="0" xfId="0" applyNumberFormat="1"/>
    <xf numFmtId="0" fontId="0" fillId="0" borderId="1" xfId="1" applyFont="1" applyFill="1" applyProtection="1">
      <protection locked="0"/>
    </xf>
    <xf numFmtId="0" fontId="5" fillId="0" borderId="0" xfId="0" applyFont="1"/>
    <xf numFmtId="0" fontId="11" fillId="0" borderId="0" xfId="0" applyFont="1"/>
    <xf numFmtId="0" fontId="0" fillId="0" borderId="0" xfId="0" applyAlignment="1">
      <alignment wrapText="1"/>
    </xf>
    <xf numFmtId="0" fontId="2" fillId="0" borderId="0" xfId="0" applyFont="1" applyAlignment="1">
      <alignment wrapText="1"/>
    </xf>
    <xf numFmtId="0" fontId="13" fillId="0" borderId="0" xfId="0" applyFont="1" applyAlignment="1">
      <alignment vertical="center"/>
    </xf>
    <xf numFmtId="0" fontId="14" fillId="0" borderId="0" xfId="0" applyFont="1" applyAlignment="1">
      <alignment vertical="center"/>
    </xf>
    <xf numFmtId="0" fontId="15" fillId="0" borderId="0" xfId="0" applyFont="1" applyAlignment="1">
      <alignment vertical="center"/>
    </xf>
    <xf numFmtId="0" fontId="16" fillId="0" borderId="2" xfId="0" applyFont="1" applyBorder="1" applyAlignment="1">
      <alignment vertical="center"/>
    </xf>
    <xf numFmtId="0" fontId="0" fillId="3" borderId="1" xfId="0" applyFill="1" applyBorder="1" applyProtection="1">
      <protection locked="0"/>
    </xf>
    <xf numFmtId="0" fontId="17" fillId="0" borderId="0" xfId="0" applyFont="1" applyAlignment="1">
      <alignment vertical="center"/>
    </xf>
    <xf numFmtId="0" fontId="17" fillId="0" borderId="0" xfId="0" applyFont="1"/>
    <xf numFmtId="0" fontId="4" fillId="0" borderId="0" xfId="0" applyFont="1" applyAlignment="1">
      <alignment horizontal="center" wrapText="1"/>
    </xf>
    <xf numFmtId="0" fontId="4" fillId="0" borderId="0" xfId="0" applyFont="1" applyAlignment="1">
      <alignment horizontal="center"/>
    </xf>
    <xf numFmtId="0" fontId="0" fillId="0" borderId="0" xfId="0" applyAlignment="1">
      <alignment horizontal="center" wrapText="1"/>
    </xf>
    <xf numFmtId="0" fontId="0" fillId="0" borderId="0" xfId="0" applyAlignment="1">
      <alignment horizontal="center"/>
    </xf>
  </cellXfs>
  <cellStyles count="2">
    <cellStyle name="Normal" xfId="0" builtinId="0"/>
    <cellStyle name="Note" xfId="1" builtinId="1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IANDER~1\AppData\Local\Temp\Superpave%20Design%20202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sheetName val="Cover_Paper_Copy"/>
      <sheetName val="Sheet2a"/>
      <sheetName val="Sheet2b"/>
      <sheetName val="Sheet2c"/>
      <sheetName val="Sheet 2d"/>
      <sheetName val="Sheet 2e"/>
      <sheetName val="Sheet 3"/>
      <sheetName val="Sheet 4"/>
      <sheetName val="Rap_test"/>
      <sheetName val="Sheet 5"/>
      <sheetName val="Sheet 6"/>
      <sheetName val="Sheet 7"/>
      <sheetName val="Sheet 8"/>
      <sheetName val="Data"/>
      <sheetName val="Import"/>
      <sheetName val="Film Thicknes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row r="2">
          <cell r="Q2" t="str">
            <v>P</v>
          </cell>
        </row>
        <row r="3">
          <cell r="Q3" t="str">
            <v>NP</v>
          </cell>
        </row>
        <row r="5">
          <cell r="Q5" t="str">
            <v>HMA</v>
          </cell>
        </row>
        <row r="6">
          <cell r="Q6" t="str">
            <v>WMA</v>
          </cell>
        </row>
      </sheetData>
      <sheetData sheetId="15"/>
      <sheetData sheetId="16"/>
    </sheetDataSet>
  </externalBook>
</externalLink>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06509C-4049-456F-AD78-0E9AAA332BA5}">
  <dimension ref="A1:H42"/>
  <sheetViews>
    <sheetView tabSelected="1" zoomScaleNormal="100" workbookViewId="0">
      <selection activeCell="B3" sqref="B3:B10"/>
    </sheetView>
  </sheetViews>
  <sheetFormatPr defaultRowHeight="14.5" x14ac:dyDescent="0.35"/>
  <cols>
    <col min="1" max="1" width="29.81640625" customWidth="1"/>
    <col min="2" max="3" width="14.26953125" customWidth="1"/>
  </cols>
  <sheetData>
    <row r="1" spans="1:8" ht="48.75" customHeight="1" x14ac:dyDescent="0.35">
      <c r="A1" s="27" t="s">
        <v>25</v>
      </c>
      <c r="B1" s="28"/>
      <c r="C1" s="28"/>
      <c r="D1" s="28"/>
      <c r="E1" s="28"/>
      <c r="F1" s="28"/>
      <c r="G1" s="28"/>
      <c r="H1" s="28"/>
    </row>
    <row r="2" spans="1:8" ht="49.5" customHeight="1" x14ac:dyDescent="0.35">
      <c r="A2" s="29" t="s">
        <v>50</v>
      </c>
      <c r="B2" s="30"/>
      <c r="C2" s="30"/>
      <c r="D2" s="30"/>
      <c r="E2" s="30"/>
      <c r="F2" s="30"/>
      <c r="G2" s="30"/>
      <c r="H2" s="30"/>
    </row>
    <row r="3" spans="1:8" x14ac:dyDescent="0.35">
      <c r="A3" t="s">
        <v>0</v>
      </c>
      <c r="B3" s="3"/>
      <c r="C3" s="2"/>
      <c r="D3" s="2"/>
      <c r="E3" s="2"/>
      <c r="F3" s="2"/>
      <c r="G3" s="2"/>
      <c r="H3" s="2"/>
    </row>
    <row r="4" spans="1:8" x14ac:dyDescent="0.35">
      <c r="A4" t="s">
        <v>27</v>
      </c>
      <c r="B4" s="10"/>
      <c r="C4" s="2"/>
      <c r="D4" s="2"/>
      <c r="E4" s="2"/>
      <c r="F4" s="2"/>
      <c r="G4" s="2"/>
      <c r="H4" s="2"/>
    </row>
    <row r="5" spans="1:8" x14ac:dyDescent="0.35">
      <c r="A5" t="s">
        <v>26</v>
      </c>
      <c r="B5" s="3"/>
      <c r="C5" s="2"/>
      <c r="D5" s="2"/>
      <c r="E5" s="2"/>
      <c r="F5" s="2"/>
      <c r="G5" s="2"/>
      <c r="H5" s="2"/>
    </row>
    <row r="6" spans="1:8" x14ac:dyDescent="0.35">
      <c r="A6" t="s">
        <v>22</v>
      </c>
      <c r="B6" s="3"/>
      <c r="C6" s="2"/>
      <c r="D6" s="2"/>
      <c r="E6" s="2"/>
      <c r="F6" s="2"/>
      <c r="G6" s="2"/>
      <c r="H6" s="2"/>
    </row>
    <row r="7" spans="1:8" x14ac:dyDescent="0.35">
      <c r="A7" t="s">
        <v>1</v>
      </c>
      <c r="B7" s="3"/>
      <c r="C7" s="2"/>
      <c r="D7" s="2"/>
      <c r="E7" s="2"/>
      <c r="F7" s="2"/>
      <c r="G7" s="2"/>
      <c r="H7" s="2"/>
    </row>
    <row r="8" spans="1:8" x14ac:dyDescent="0.35">
      <c r="A8" t="s">
        <v>29</v>
      </c>
      <c r="B8" s="3"/>
      <c r="C8" s="2"/>
      <c r="D8" s="2"/>
      <c r="E8" s="2"/>
      <c r="F8" s="2"/>
      <c r="G8" s="2"/>
      <c r="H8" s="2"/>
    </row>
    <row r="9" spans="1:8" x14ac:dyDescent="0.35">
      <c r="A9" t="s">
        <v>30</v>
      </c>
      <c r="B9" s="3"/>
      <c r="C9" s="2"/>
      <c r="D9" s="2"/>
      <c r="E9" s="2"/>
      <c r="F9" s="2"/>
      <c r="G9" s="2"/>
      <c r="H9" s="2"/>
    </row>
    <row r="10" spans="1:8" x14ac:dyDescent="0.35">
      <c r="A10" s="2" t="s">
        <v>47</v>
      </c>
      <c r="B10" s="3"/>
      <c r="C10" s="2"/>
      <c r="D10" s="2"/>
      <c r="E10" s="2"/>
      <c r="F10" s="2"/>
      <c r="G10" s="2"/>
      <c r="H10" s="2"/>
    </row>
    <row r="11" spans="1:8" x14ac:dyDescent="0.35">
      <c r="A11" s="2"/>
      <c r="C11" s="2"/>
      <c r="D11" s="2"/>
      <c r="E11" s="2"/>
      <c r="F11" s="2"/>
      <c r="G11" s="2"/>
      <c r="H11" s="2"/>
    </row>
    <row r="12" spans="1:8" x14ac:dyDescent="0.35">
      <c r="A12" s="1" t="s">
        <v>2</v>
      </c>
      <c r="B12" s="1" t="s">
        <v>6</v>
      </c>
      <c r="C12" s="1" t="s">
        <v>7</v>
      </c>
      <c r="D12" s="1"/>
      <c r="E12" s="1" t="s">
        <v>3</v>
      </c>
      <c r="F12" s="1" t="s">
        <v>4</v>
      </c>
      <c r="G12" s="1" t="s">
        <v>5</v>
      </c>
      <c r="H12" s="2"/>
    </row>
    <row r="13" spans="1:8" ht="16.5" x14ac:dyDescent="0.45">
      <c r="A13" t="s">
        <v>75</v>
      </c>
      <c r="B13" s="2" t="s">
        <v>28</v>
      </c>
      <c r="C13" s="2" t="s">
        <v>28</v>
      </c>
      <c r="D13" s="2"/>
      <c r="E13" s="4"/>
      <c r="F13" s="5" t="str">
        <f>IF(ISBLANK($E13),"-",$E13)</f>
        <v>-</v>
      </c>
      <c r="G13" s="5" t="str">
        <f>IF(ISBLANK($E13),"-",$E13)</f>
        <v>-</v>
      </c>
      <c r="H13" s="2"/>
    </row>
    <row r="14" spans="1:8" ht="16.5" x14ac:dyDescent="0.45">
      <c r="A14" t="s">
        <v>76</v>
      </c>
      <c r="B14" s="2" t="s">
        <v>28</v>
      </c>
      <c r="C14" s="2" t="s">
        <v>28</v>
      </c>
      <c r="D14" s="2"/>
      <c r="E14" s="4"/>
      <c r="F14" s="5" t="str">
        <f>IF(ISBLANK($E14),"-",$E14)</f>
        <v>-</v>
      </c>
      <c r="G14" s="5" t="str">
        <f>IF(ISBLANK($E14),"-",$E14)</f>
        <v>-</v>
      </c>
      <c r="H14" s="2"/>
    </row>
    <row r="15" spans="1:8" ht="16.5" x14ac:dyDescent="0.45">
      <c r="A15" t="s">
        <v>77</v>
      </c>
      <c r="B15" s="2" t="s">
        <v>28</v>
      </c>
      <c r="C15" s="2" t="s">
        <v>28</v>
      </c>
      <c r="D15" s="2"/>
      <c r="E15" s="4"/>
      <c r="F15" s="4"/>
      <c r="G15" s="4"/>
      <c r="H15" s="2"/>
    </row>
    <row r="16" spans="1:8" ht="16.5" x14ac:dyDescent="0.45">
      <c r="A16" t="s">
        <v>78</v>
      </c>
      <c r="B16" s="2" t="s">
        <v>28</v>
      </c>
      <c r="C16" s="2" t="s">
        <v>28</v>
      </c>
      <c r="D16" s="2"/>
      <c r="E16" s="4"/>
      <c r="F16" s="4"/>
      <c r="G16" s="4"/>
      <c r="H16" s="2"/>
    </row>
    <row r="17" spans="1:8" x14ac:dyDescent="0.35">
      <c r="B17" s="2"/>
      <c r="C17" s="2"/>
      <c r="D17" s="2"/>
      <c r="E17" s="2"/>
      <c r="F17" s="2"/>
      <c r="G17" s="2"/>
      <c r="H17" s="2"/>
    </row>
    <row r="18" spans="1:8" x14ac:dyDescent="0.35">
      <c r="A18" t="s">
        <v>24</v>
      </c>
      <c r="B18" s="3"/>
      <c r="C18" s="3"/>
      <c r="D18" s="2"/>
      <c r="E18" s="6"/>
      <c r="F18" s="6"/>
      <c r="G18" s="6"/>
      <c r="H18" s="2"/>
    </row>
    <row r="19" spans="1:8" x14ac:dyDescent="0.35">
      <c r="A19" t="s">
        <v>8</v>
      </c>
      <c r="B19" s="8"/>
      <c r="C19" s="8"/>
      <c r="D19" s="2"/>
      <c r="E19" s="7" t="str">
        <f>IF(ISBLANK(E$15),"-",100*(1-(E15/E16)))</f>
        <v>-</v>
      </c>
      <c r="F19" s="7" t="str">
        <f t="shared" ref="F19:G19" si="0">IF(ISBLANK(F$15),"-",100*(1-(F15/F16)))</f>
        <v>-</v>
      </c>
      <c r="G19" s="7" t="str">
        <f t="shared" si="0"/>
        <v>-</v>
      </c>
      <c r="H19" s="2"/>
    </row>
    <row r="20" spans="1:8" x14ac:dyDescent="0.35">
      <c r="A20" t="s">
        <v>9</v>
      </c>
      <c r="B20" s="8"/>
      <c r="C20" s="8"/>
      <c r="D20" s="2"/>
      <c r="E20" s="7" t="str">
        <f>IF(ISBLANK(E$15),"-",100-(E15*(100-E21)/E13))</f>
        <v>-</v>
      </c>
      <c r="F20" s="7" t="str">
        <f>IF(ISBLANK(F$15),"-",100-(F15*(100-F21)/F13))</f>
        <v>-</v>
      </c>
      <c r="G20" s="7" t="str">
        <f>IF(ISBLANK(G$15),"-",100-(G15*(100-G21)/G13))</f>
        <v>-</v>
      </c>
      <c r="H20" s="2"/>
    </row>
    <row r="21" spans="1:8" ht="16.5" x14ac:dyDescent="0.45">
      <c r="A21" t="s">
        <v>80</v>
      </c>
      <c r="B21" s="8"/>
      <c r="C21" s="8"/>
      <c r="D21" s="2"/>
      <c r="E21" s="11"/>
      <c r="F21" s="11"/>
      <c r="G21" s="11"/>
      <c r="H21" s="2"/>
    </row>
    <row r="22" spans="1:8" x14ac:dyDescent="0.35">
      <c r="A22" t="s">
        <v>10</v>
      </c>
      <c r="B22" s="6"/>
      <c r="C22" s="6"/>
      <c r="D22" s="2"/>
      <c r="E22" s="3"/>
      <c r="F22" s="3"/>
      <c r="G22" s="3"/>
      <c r="H22" s="2"/>
    </row>
    <row r="23" spans="1:8" x14ac:dyDescent="0.35">
      <c r="A23" t="s">
        <v>79</v>
      </c>
      <c r="B23" s="6"/>
      <c r="C23" s="6"/>
      <c r="D23" s="2"/>
      <c r="E23" s="3"/>
      <c r="F23" s="3"/>
      <c r="G23" s="3"/>
      <c r="H23" s="2"/>
    </row>
    <row r="24" spans="1:8" x14ac:dyDescent="0.35">
      <c r="A24" t="s">
        <v>11</v>
      </c>
      <c r="B24" s="6"/>
      <c r="C24" s="6"/>
      <c r="D24" s="2"/>
      <c r="E24" s="3"/>
      <c r="F24" s="3"/>
      <c r="G24" s="3"/>
      <c r="H24" s="2"/>
    </row>
    <row r="25" spans="1:8" x14ac:dyDescent="0.35">
      <c r="A25" t="s">
        <v>12</v>
      </c>
      <c r="B25" s="6"/>
      <c r="C25" s="6"/>
      <c r="D25" s="2"/>
      <c r="E25" s="3"/>
      <c r="F25" s="3"/>
      <c r="G25" s="3"/>
      <c r="H25" s="2"/>
    </row>
    <row r="26" spans="1:8" x14ac:dyDescent="0.35">
      <c r="A26" t="s">
        <v>13</v>
      </c>
      <c r="B26" s="6"/>
      <c r="C26" s="6"/>
      <c r="D26" s="2"/>
      <c r="E26" s="3"/>
      <c r="F26" s="3"/>
      <c r="G26" s="3"/>
      <c r="H26" s="2"/>
    </row>
    <row r="27" spans="1:8" x14ac:dyDescent="0.35">
      <c r="A27" t="s">
        <v>14</v>
      </c>
      <c r="B27" s="6"/>
      <c r="C27" s="6"/>
      <c r="D27" s="2"/>
      <c r="E27" s="3"/>
      <c r="F27" s="3"/>
      <c r="G27" s="3"/>
      <c r="H27" s="2"/>
    </row>
    <row r="28" spans="1:8" x14ac:dyDescent="0.35">
      <c r="A28" t="s">
        <v>15</v>
      </c>
      <c r="B28" s="6"/>
      <c r="C28" s="6"/>
      <c r="D28" s="2"/>
      <c r="E28" s="3"/>
      <c r="F28" s="3"/>
      <c r="G28" s="3"/>
      <c r="H28" s="2"/>
    </row>
    <row r="29" spans="1:8" x14ac:dyDescent="0.35">
      <c r="A29" t="s">
        <v>16</v>
      </c>
      <c r="B29" s="6"/>
      <c r="C29" s="6"/>
      <c r="D29" s="2"/>
      <c r="E29" s="3"/>
      <c r="F29" s="3"/>
      <c r="G29" s="3"/>
      <c r="H29" s="2"/>
    </row>
    <row r="30" spans="1:8" x14ac:dyDescent="0.35">
      <c r="A30" t="s">
        <v>17</v>
      </c>
      <c r="B30" s="6"/>
      <c r="C30" s="6"/>
      <c r="D30" s="2"/>
      <c r="E30" s="3"/>
      <c r="F30" s="3"/>
      <c r="G30" s="3"/>
      <c r="H30" s="2"/>
    </row>
    <row r="31" spans="1:8" x14ac:dyDescent="0.35">
      <c r="A31" t="s">
        <v>18</v>
      </c>
      <c r="B31" s="6"/>
      <c r="C31" s="6"/>
      <c r="D31" s="2"/>
      <c r="E31" s="3"/>
      <c r="F31" s="3"/>
      <c r="G31" s="3"/>
      <c r="H31" s="2"/>
    </row>
    <row r="32" spans="1:8" x14ac:dyDescent="0.35">
      <c r="A32" t="s">
        <v>19</v>
      </c>
      <c r="B32" s="6"/>
      <c r="C32" s="6"/>
      <c r="D32" s="2"/>
      <c r="E32" s="3"/>
      <c r="F32" s="3"/>
      <c r="G32" s="3"/>
      <c r="H32" s="2"/>
    </row>
    <row r="33" spans="1:8" x14ac:dyDescent="0.35">
      <c r="A33" t="s">
        <v>20</v>
      </c>
      <c r="B33" s="6"/>
      <c r="C33" s="6"/>
      <c r="D33" s="2"/>
      <c r="E33" s="3"/>
      <c r="F33" s="3"/>
      <c r="G33" s="3"/>
      <c r="H33" s="2"/>
    </row>
    <row r="34" spans="1:8" x14ac:dyDescent="0.35">
      <c r="A34" t="s">
        <v>21</v>
      </c>
      <c r="B34" s="8"/>
      <c r="C34" s="8"/>
      <c r="D34" s="2"/>
      <c r="E34" s="8"/>
      <c r="F34" s="8"/>
      <c r="G34" s="8"/>
      <c r="H34" s="2"/>
    </row>
    <row r="35" spans="1:8" x14ac:dyDescent="0.35">
      <c r="B35" s="2"/>
      <c r="C35" s="2"/>
      <c r="D35" s="2"/>
      <c r="E35" s="2"/>
      <c r="F35" s="2"/>
      <c r="G35" s="2"/>
      <c r="H35" s="2"/>
    </row>
    <row r="36" spans="1:8" x14ac:dyDescent="0.35">
      <c r="A36" t="s">
        <v>23</v>
      </c>
      <c r="B36" s="7" t="s">
        <v>28</v>
      </c>
      <c r="C36" s="12" t="s">
        <v>28</v>
      </c>
      <c r="D36" s="2"/>
      <c r="E36" s="9" t="str">
        <f>IF(ISBLANK(E$15),"-",E34/E21)</f>
        <v>-</v>
      </c>
      <c r="F36" s="9" t="str">
        <f t="shared" ref="F36:G36" si="1">IF(ISBLANK(F$15),"-",F34/F21)</f>
        <v>-</v>
      </c>
      <c r="G36" s="9" t="str">
        <f t="shared" si="1"/>
        <v>-</v>
      </c>
      <c r="H36" s="2"/>
    </row>
    <row r="37" spans="1:8" ht="16.5" x14ac:dyDescent="0.45">
      <c r="A37" t="s">
        <v>81</v>
      </c>
      <c r="B37" s="5" t="s">
        <v>28</v>
      </c>
      <c r="C37" s="13" t="s">
        <v>28</v>
      </c>
      <c r="D37" s="2"/>
      <c r="E37" s="5" t="str">
        <f>IF(ISBLANK(E$15),"-",(100-E21)/((100/E16)-(E21/E14)))</f>
        <v>-</v>
      </c>
      <c r="F37" s="5" t="str">
        <f t="shared" ref="F37:G37" si="2">IF(ISBLANK(F$15),"-",(100-F21)/((100/F16)-(F21/F14)))</f>
        <v>-</v>
      </c>
      <c r="G37" s="5" t="str">
        <f t="shared" si="2"/>
        <v>-</v>
      </c>
      <c r="H37" s="2"/>
    </row>
    <row r="38" spans="1:8" ht="16.5" x14ac:dyDescent="0.45">
      <c r="A38" t="s">
        <v>82</v>
      </c>
      <c r="B38" s="9" t="s">
        <v>28</v>
      </c>
      <c r="C38" s="9" t="s">
        <v>28</v>
      </c>
      <c r="D38" s="2"/>
      <c r="E38" s="9" t="str">
        <f>IF(ISBLANK(E$15),"-",100*E14*(E37-E13)/(E13*E37))</f>
        <v>-</v>
      </c>
      <c r="F38" s="9" t="str">
        <f t="shared" ref="F38:G38" si="3">IF(ISBLANK(F$15),"-",100*F14*(F37-F13)/(F13*F37))</f>
        <v>-</v>
      </c>
      <c r="G38" s="9" t="str">
        <f t="shared" si="3"/>
        <v>-</v>
      </c>
      <c r="H38" s="2"/>
    </row>
    <row r="39" spans="1:8" ht="16.5" x14ac:dyDescent="0.45">
      <c r="A39" t="s">
        <v>83</v>
      </c>
      <c r="B39" s="9" t="s">
        <v>28</v>
      </c>
      <c r="C39" s="9" t="s">
        <v>28</v>
      </c>
      <c r="D39" s="2"/>
      <c r="E39" s="9" t="str">
        <f>IF(ISBLANK(E$15),"-",E21-((E38/100)*(100-E21)))</f>
        <v>-</v>
      </c>
      <c r="F39" s="9" t="str">
        <f t="shared" ref="F39:G39" si="4">IF(ISBLANK(F$15),"-",F21-((F38/100)*(100-F21)))</f>
        <v>-</v>
      </c>
      <c r="G39" s="9" t="str">
        <f t="shared" si="4"/>
        <v>-</v>
      </c>
      <c r="H39" s="2"/>
    </row>
    <row r="40" spans="1:8" ht="16.5" x14ac:dyDescent="0.45">
      <c r="A40" t="s">
        <v>84</v>
      </c>
      <c r="B40" t="s">
        <v>28</v>
      </c>
      <c r="C40" t="s">
        <v>28</v>
      </c>
      <c r="D40" s="2"/>
      <c r="E40" t="str">
        <f>IF(ISBLANK(E$15),"-",IF(E37&gt;E13,"TRUE","FALSE"))</f>
        <v>-</v>
      </c>
      <c r="F40" t="str">
        <f t="shared" ref="F40:G40" si="5">IF(ISBLANK(F$15),"-",IF(F37&gt;F13,"TRUE","FALSE"))</f>
        <v>-</v>
      </c>
      <c r="G40" t="str">
        <f t="shared" si="5"/>
        <v>-</v>
      </c>
      <c r="H40" s="2"/>
    </row>
    <row r="41" spans="1:8" x14ac:dyDescent="0.35">
      <c r="A41" s="2"/>
      <c r="B41" s="2"/>
      <c r="C41" s="2"/>
      <c r="D41" s="2"/>
      <c r="E41" s="2"/>
      <c r="F41" s="2"/>
      <c r="G41" s="2"/>
      <c r="H41" s="2"/>
    </row>
    <row r="42" spans="1:8" x14ac:dyDescent="0.35">
      <c r="A42" s="2"/>
      <c r="B42" s="2"/>
      <c r="C42" s="2"/>
      <c r="D42" s="2"/>
      <c r="E42" s="2"/>
      <c r="F42" s="2"/>
      <c r="G42" s="2"/>
      <c r="H42" s="2"/>
    </row>
  </sheetData>
  <sheetProtection algorithmName="SHA-512" hashValue="E8Q7Y5IOlgUPGp712AM1mE6eaT3/KcOiXY+5h/jyNtEq04jc8lWF+in8Lk+OzZJ4dehw3diriDewujMfQ6TsGA==" saltValue="1KcEJ2rrqw2ICiuM72qL5g==" spinCount="100000" sheet="1" objects="1" scenarios="1"/>
  <mergeCells count="2">
    <mergeCell ref="A1:H1"/>
    <mergeCell ref="A2:H2"/>
  </mergeCells>
  <pageMargins left="0.7" right="0.7" top="0.75" bottom="0.75" header="0.3" footer="0.3"/>
  <pageSetup scale="86"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09CEB0-7583-4663-818C-6EAA70E01989}">
  <dimension ref="A1:M58"/>
  <sheetViews>
    <sheetView showZeros="0" zoomScaleNormal="100" workbookViewId="0">
      <selection activeCell="B3" sqref="B3"/>
    </sheetView>
  </sheetViews>
  <sheetFormatPr defaultColWidth="9.1796875" defaultRowHeight="14.5" x14ac:dyDescent="0.35"/>
  <cols>
    <col min="1" max="1" width="27.81640625" customWidth="1"/>
    <col min="2" max="8" width="16" customWidth="1"/>
  </cols>
  <sheetData>
    <row r="1" spans="1:8" ht="55.5" customHeight="1" x14ac:dyDescent="0.35">
      <c r="A1" s="27" t="s">
        <v>31</v>
      </c>
      <c r="B1" s="28"/>
      <c r="C1" s="28"/>
      <c r="D1" s="28"/>
      <c r="E1" s="28"/>
      <c r="F1" s="28"/>
      <c r="G1" s="28"/>
      <c r="H1" s="28"/>
    </row>
    <row r="2" spans="1:8" ht="47" customHeight="1" x14ac:dyDescent="0.35">
      <c r="A2" s="29" t="s">
        <v>49</v>
      </c>
      <c r="B2" s="29"/>
      <c r="C2" s="29"/>
      <c r="D2" s="29"/>
      <c r="E2" s="29"/>
      <c r="F2" s="29"/>
      <c r="G2" s="29"/>
      <c r="H2" s="29"/>
    </row>
    <row r="3" spans="1:8" x14ac:dyDescent="0.35">
      <c r="A3" t="s">
        <v>0</v>
      </c>
      <c r="B3" s="3"/>
      <c r="C3" s="2"/>
      <c r="D3" s="2"/>
      <c r="E3" s="2"/>
      <c r="F3" s="2"/>
      <c r="G3" s="2"/>
      <c r="H3" s="2"/>
    </row>
    <row r="4" spans="1:8" x14ac:dyDescent="0.35">
      <c r="A4" t="s">
        <v>27</v>
      </c>
      <c r="B4" s="10"/>
      <c r="C4" s="2"/>
      <c r="D4" s="2"/>
      <c r="E4" s="2"/>
      <c r="F4" s="2"/>
      <c r="G4" s="2"/>
      <c r="H4" s="2"/>
    </row>
    <row r="5" spans="1:8" x14ac:dyDescent="0.35">
      <c r="A5" t="s">
        <v>26</v>
      </c>
      <c r="B5" s="3"/>
      <c r="C5" s="2"/>
      <c r="D5" s="2"/>
      <c r="E5" s="2"/>
      <c r="F5" s="2"/>
      <c r="G5" s="2"/>
      <c r="H5" s="2"/>
    </row>
    <row r="6" spans="1:8" x14ac:dyDescent="0.35">
      <c r="A6" t="s">
        <v>29</v>
      </c>
      <c r="B6" s="3"/>
    </row>
    <row r="7" spans="1:8" x14ac:dyDescent="0.35">
      <c r="A7" t="s">
        <v>30</v>
      </c>
      <c r="B7" s="3"/>
    </row>
    <row r="8" spans="1:8" x14ac:dyDescent="0.35">
      <c r="A8" t="s">
        <v>47</v>
      </c>
      <c r="B8" s="3"/>
      <c r="C8" s="2"/>
      <c r="D8" s="2"/>
      <c r="E8" s="2"/>
      <c r="F8" s="2"/>
      <c r="G8" s="2"/>
      <c r="H8" s="2"/>
    </row>
    <row r="9" spans="1:8" x14ac:dyDescent="0.35">
      <c r="C9" s="2"/>
      <c r="D9" s="2"/>
      <c r="E9" s="2"/>
      <c r="F9" s="2"/>
      <c r="G9" s="2"/>
      <c r="H9" s="2"/>
    </row>
    <row r="11" spans="1:8" x14ac:dyDescent="0.35">
      <c r="A11" s="1" t="s">
        <v>32</v>
      </c>
      <c r="C11" s="25" t="s">
        <v>99</v>
      </c>
    </row>
    <row r="12" spans="1:8" x14ac:dyDescent="0.35">
      <c r="A12" t="s">
        <v>38</v>
      </c>
      <c r="B12" s="24"/>
    </row>
    <row r="13" spans="1:8" x14ac:dyDescent="0.35">
      <c r="A13" t="s">
        <v>22</v>
      </c>
      <c r="B13" s="3"/>
      <c r="C13" s="2"/>
      <c r="D13" s="2"/>
      <c r="E13" s="2"/>
      <c r="F13" s="2"/>
      <c r="G13" s="2"/>
      <c r="H13" s="2"/>
    </row>
    <row r="14" spans="1:8" x14ac:dyDescent="0.35">
      <c r="A14" t="s">
        <v>1</v>
      </c>
      <c r="B14" s="3"/>
      <c r="C14" s="2"/>
      <c r="D14" s="2"/>
      <c r="E14" s="2"/>
      <c r="F14" s="2"/>
      <c r="G14" s="2"/>
      <c r="H14" s="2"/>
    </row>
    <row r="15" spans="1:8" x14ac:dyDescent="0.35">
      <c r="B15" s="1" t="s">
        <v>33</v>
      </c>
      <c r="C15" s="1" t="s">
        <v>34</v>
      </c>
      <c r="D15" s="1" t="s">
        <v>35</v>
      </c>
      <c r="E15" s="20" t="s">
        <v>87</v>
      </c>
    </row>
    <row r="16" spans="1:8" x14ac:dyDescent="0.35">
      <c r="A16" t="s">
        <v>64</v>
      </c>
      <c r="B16" s="3"/>
      <c r="C16" s="3"/>
      <c r="D16" t="str">
        <f>IFERROR(ROUND(AVERAGE(B16,C16),1),"-")</f>
        <v>-</v>
      </c>
      <c r="E16" s="21" t="s">
        <v>88</v>
      </c>
    </row>
    <row r="17" spans="1:8" x14ac:dyDescent="0.35">
      <c r="A17" s="17" t="s">
        <v>65</v>
      </c>
      <c r="B17" s="3"/>
      <c r="C17" s="3"/>
      <c r="D17" t="str">
        <f>IFERROR(ROUND(AVERAGE(B17,C17),1),"-")</f>
        <v>-</v>
      </c>
      <c r="E17" s="21" t="s">
        <v>89</v>
      </c>
    </row>
    <row r="18" spans="1:8" x14ac:dyDescent="0.35">
      <c r="A18" t="s">
        <v>66</v>
      </c>
      <c r="B18" s="3"/>
      <c r="C18" s="3"/>
      <c r="D18" t="str">
        <f>IFERROR(ROUND(AVERAGE(B18,C18),1),"-")</f>
        <v>-</v>
      </c>
      <c r="E18" s="21" t="s">
        <v>90</v>
      </c>
    </row>
    <row r="19" spans="1:8" x14ac:dyDescent="0.35">
      <c r="A19" t="s">
        <v>36</v>
      </c>
      <c r="B19" s="3"/>
      <c r="C19" s="3"/>
      <c r="D19" t="str">
        <f>IFERROR(ROUND(AVERAGE(B19,C19),1),"-")</f>
        <v>-</v>
      </c>
      <c r="E19" s="21" t="s">
        <v>91</v>
      </c>
    </row>
    <row r="20" spans="1:8" x14ac:dyDescent="0.35">
      <c r="A20" t="s">
        <v>67</v>
      </c>
      <c r="B20" s="3"/>
      <c r="C20" s="3"/>
      <c r="D20" t="str">
        <f>IFERROR(ROUND(AVERAGE(B20,C20),1),"-")</f>
        <v>-</v>
      </c>
      <c r="E20" s="21" t="s">
        <v>92</v>
      </c>
    </row>
    <row r="21" spans="1:8" ht="16.5" x14ac:dyDescent="0.35">
      <c r="A21" t="s">
        <v>68</v>
      </c>
      <c r="B21" s="3"/>
      <c r="C21" s="3"/>
      <c r="D21" t="str">
        <f>IFERROR(ROUND(AVERAGE(B21,C21),5),"-")</f>
        <v>-</v>
      </c>
      <c r="E21" s="21" t="s">
        <v>93</v>
      </c>
    </row>
    <row r="22" spans="1:8" ht="16.5" x14ac:dyDescent="0.35">
      <c r="A22" t="s">
        <v>69</v>
      </c>
      <c r="B22" s="3"/>
      <c r="C22" s="3"/>
      <c r="D22" t="str">
        <f>IFERROR(ROUND(AVERAGE(B22,C22),5),"-")</f>
        <v>-</v>
      </c>
      <c r="E22" s="22" t="s">
        <v>94</v>
      </c>
    </row>
    <row r="23" spans="1:8" x14ac:dyDescent="0.35">
      <c r="A23" t="s">
        <v>37</v>
      </c>
      <c r="B23" t="str">
        <f>IFERROR(ABS(ROUND(B21/B22,2)),"-")</f>
        <v>-</v>
      </c>
      <c r="C23" t="str">
        <f>IFERROR(ABS(ROUND(C21/C22,2)),"-")</f>
        <v>-</v>
      </c>
      <c r="D23" t="str">
        <f>IFERROR(ABS(ROUND(D21/D22,2)),"-")</f>
        <v>-</v>
      </c>
      <c r="E23" s="23" t="s">
        <v>95</v>
      </c>
    </row>
    <row r="24" spans="1:8" x14ac:dyDescent="0.35">
      <c r="A24" t="s">
        <v>39</v>
      </c>
      <c r="B24" t="str">
        <f>IF(ISBLANK(B21),"-",IF(OR(B23&lt;3,B21&lt;0.00063),"FALSE","TRUE"))</f>
        <v>-</v>
      </c>
      <c r="C24" t="str">
        <f>IF(ISBLANK(C21),"-",IF(OR(C23&lt;3,C21&lt;0.00063),"FALSE","TRUE"))</f>
        <v>-</v>
      </c>
      <c r="D24" t="str">
        <f>IF(D21="-","-",IF(OR(D23&lt;3,D21&lt;0.00063),"FALSE","TRUE"))</f>
        <v>-</v>
      </c>
      <c r="E24" s="21" t="s">
        <v>96</v>
      </c>
    </row>
    <row r="25" spans="1:8" x14ac:dyDescent="0.35">
      <c r="E25" s="21" t="s">
        <v>97</v>
      </c>
    </row>
    <row r="26" spans="1:8" x14ac:dyDescent="0.35">
      <c r="E26" s="21" t="s">
        <v>98</v>
      </c>
    </row>
    <row r="27" spans="1:8" x14ac:dyDescent="0.35">
      <c r="A27" s="1" t="s">
        <v>40</v>
      </c>
    </row>
    <row r="28" spans="1:8" x14ac:dyDescent="0.35">
      <c r="A28" t="s">
        <v>38</v>
      </c>
      <c r="B28" s="10"/>
    </row>
    <row r="29" spans="1:8" x14ac:dyDescent="0.35">
      <c r="A29" t="s">
        <v>22</v>
      </c>
      <c r="B29" s="3"/>
    </row>
    <row r="30" spans="1:8" x14ac:dyDescent="0.35">
      <c r="A30" t="s">
        <v>1</v>
      </c>
      <c r="B30" s="3"/>
      <c r="C30" s="26" t="s">
        <v>100</v>
      </c>
    </row>
    <row r="31" spans="1:8" ht="29" x14ac:dyDescent="0.35">
      <c r="B31" s="1" t="s">
        <v>41</v>
      </c>
      <c r="C31" s="1" t="s">
        <v>42</v>
      </c>
      <c r="D31" s="1" t="s">
        <v>43</v>
      </c>
      <c r="E31" s="1" t="s">
        <v>44</v>
      </c>
      <c r="F31" s="1" t="s">
        <v>35</v>
      </c>
      <c r="G31" s="19" t="s">
        <v>86</v>
      </c>
      <c r="H31" s="1" t="s">
        <v>45</v>
      </c>
    </row>
    <row r="32" spans="1:8" ht="15" customHeight="1" x14ac:dyDescent="0.45">
      <c r="A32" t="s">
        <v>54</v>
      </c>
      <c r="B32" s="3"/>
      <c r="C32" s="3"/>
      <c r="D32" s="3"/>
      <c r="E32" s="3"/>
      <c r="F32" t="str">
        <f>IFERROR(ROUND(AVERAGE(B32,C32,D32,E32),3),"-")</f>
        <v>-</v>
      </c>
      <c r="G32" s="7" t="s">
        <v>28</v>
      </c>
    </row>
    <row r="33" spans="1:13" ht="15" customHeight="1" x14ac:dyDescent="0.45">
      <c r="A33" t="s">
        <v>55</v>
      </c>
      <c r="B33" s="3"/>
      <c r="C33" s="3"/>
      <c r="D33" s="3"/>
      <c r="E33" s="3"/>
      <c r="F33" s="7" t="str">
        <f t="shared" ref="F33:F42" si="0">IFERROR(ROUND(AVERAGE(B33,C33,D33,E33),3),"-")</f>
        <v>-</v>
      </c>
      <c r="G33" s="7" t="s">
        <v>28</v>
      </c>
    </row>
    <row r="34" spans="1:13" ht="15" customHeight="1" x14ac:dyDescent="0.35">
      <c r="A34" t="s">
        <v>51</v>
      </c>
      <c r="B34" s="3"/>
      <c r="C34" s="3"/>
      <c r="D34" s="3"/>
      <c r="E34" s="3"/>
      <c r="F34" s="7" t="str">
        <f t="shared" si="0"/>
        <v>-</v>
      </c>
      <c r="G34" s="7" t="s">
        <v>28</v>
      </c>
    </row>
    <row r="35" spans="1:13" ht="15" customHeight="1" x14ac:dyDescent="0.35">
      <c r="A35" t="s">
        <v>56</v>
      </c>
      <c r="B35" s="3"/>
      <c r="C35" s="3"/>
      <c r="D35" s="3"/>
      <c r="E35" s="3"/>
      <c r="F35" s="7" t="str">
        <f t="shared" si="0"/>
        <v>-</v>
      </c>
      <c r="G35" s="7" t="s">
        <v>28</v>
      </c>
    </row>
    <row r="36" spans="1:13" ht="15" customHeight="1" x14ac:dyDescent="0.35">
      <c r="A36" t="s">
        <v>57</v>
      </c>
      <c r="B36" s="3"/>
      <c r="C36" s="3"/>
      <c r="D36" s="3"/>
      <c r="E36" s="3"/>
      <c r="F36" s="7" t="str">
        <f t="shared" si="0"/>
        <v>-</v>
      </c>
      <c r="G36" s="7" t="s">
        <v>28</v>
      </c>
    </row>
    <row r="37" spans="1:13" ht="15" customHeight="1" x14ac:dyDescent="0.45">
      <c r="A37" t="s">
        <v>58</v>
      </c>
      <c r="B37" s="3"/>
      <c r="C37" s="3"/>
      <c r="D37" s="3"/>
      <c r="E37" s="3"/>
      <c r="F37" s="7" t="str">
        <f t="shared" si="0"/>
        <v>-</v>
      </c>
      <c r="G37" s="7" t="str">
        <f>IFERROR(ROUND(STDEV(B37,C37,D37,E37),1),"-")</f>
        <v>-</v>
      </c>
      <c r="H37" s="14" t="str">
        <f>IFERROR(ROUND((G37/F37),1),"-")</f>
        <v>-</v>
      </c>
      <c r="M37" t="str">
        <f t="shared" ref="M37:M42" si="1">IFERROR(ROUND(STDEV(C37,E37,G37,I37)/AVERAGE(C37,E37,G37,I37),3),"")</f>
        <v/>
      </c>
    </row>
    <row r="38" spans="1:13" ht="15" customHeight="1" x14ac:dyDescent="0.45">
      <c r="A38" t="s">
        <v>59</v>
      </c>
      <c r="B38" s="3"/>
      <c r="C38" s="3"/>
      <c r="D38" s="3"/>
      <c r="E38" s="3"/>
      <c r="F38" s="7" t="str">
        <f t="shared" si="0"/>
        <v>-</v>
      </c>
      <c r="G38" s="7" t="str">
        <f t="shared" ref="G38:G42" si="2">IFERROR(ROUND(STDEV(B38,C38,D38,E38),1),"-")</f>
        <v>-</v>
      </c>
      <c r="H38" s="14" t="str">
        <f t="shared" ref="H38:H42" si="3">IFERROR(ROUND((G38/F38),1),"-")</f>
        <v>-</v>
      </c>
      <c r="M38" t="str">
        <f t="shared" si="1"/>
        <v/>
      </c>
    </row>
    <row r="39" spans="1:13" ht="15" customHeight="1" x14ac:dyDescent="0.45">
      <c r="A39" t="s">
        <v>60</v>
      </c>
      <c r="B39" s="3"/>
      <c r="C39" s="3"/>
      <c r="D39" s="3"/>
      <c r="E39" s="3"/>
      <c r="F39" s="7" t="str">
        <f t="shared" si="0"/>
        <v>-</v>
      </c>
      <c r="G39" s="7" t="str">
        <f t="shared" si="2"/>
        <v>-</v>
      </c>
      <c r="H39" s="14" t="str">
        <f t="shared" si="3"/>
        <v>-</v>
      </c>
      <c r="M39" t="str">
        <f t="shared" si="1"/>
        <v/>
      </c>
    </row>
    <row r="40" spans="1:13" ht="15" customHeight="1" x14ac:dyDescent="0.35">
      <c r="A40" t="s">
        <v>61</v>
      </c>
      <c r="B40" s="3"/>
      <c r="C40" s="3"/>
      <c r="D40" s="3"/>
      <c r="E40" s="3"/>
      <c r="F40" s="7" t="str">
        <f t="shared" si="0"/>
        <v>-</v>
      </c>
      <c r="G40" s="7" t="str">
        <f t="shared" si="2"/>
        <v>-</v>
      </c>
      <c r="H40" s="14" t="str">
        <f t="shared" si="3"/>
        <v>-</v>
      </c>
      <c r="M40" t="str">
        <f t="shared" si="1"/>
        <v/>
      </c>
    </row>
    <row r="41" spans="1:13" ht="15" customHeight="1" x14ac:dyDescent="0.45">
      <c r="A41" t="s">
        <v>62</v>
      </c>
      <c r="B41" s="3"/>
      <c r="C41" s="3"/>
      <c r="D41" s="3"/>
      <c r="E41" s="3"/>
      <c r="F41" s="7" t="str">
        <f t="shared" si="0"/>
        <v>-</v>
      </c>
      <c r="G41" s="7" t="str">
        <f t="shared" si="2"/>
        <v>-</v>
      </c>
      <c r="H41" s="14" t="str">
        <f t="shared" si="3"/>
        <v>-</v>
      </c>
      <c r="M41" t="str">
        <f t="shared" si="1"/>
        <v/>
      </c>
    </row>
    <row r="42" spans="1:13" ht="15" customHeight="1" x14ac:dyDescent="0.35">
      <c r="A42" t="s">
        <v>63</v>
      </c>
      <c r="B42" s="3"/>
      <c r="C42" s="3"/>
      <c r="D42" s="3"/>
      <c r="E42" s="3"/>
      <c r="F42" s="7" t="str">
        <f t="shared" si="0"/>
        <v>-</v>
      </c>
      <c r="G42" s="7" t="str">
        <f t="shared" si="2"/>
        <v>-</v>
      </c>
      <c r="H42" s="14" t="str">
        <f t="shared" si="3"/>
        <v>-</v>
      </c>
      <c r="M42" t="str">
        <f t="shared" si="1"/>
        <v/>
      </c>
    </row>
    <row r="45" spans="1:13" x14ac:dyDescent="0.35">
      <c r="A45" s="1" t="s">
        <v>46</v>
      </c>
      <c r="C45" s="26" t="s">
        <v>101</v>
      </c>
    </row>
    <row r="46" spans="1:13" x14ac:dyDescent="0.35">
      <c r="A46" t="s">
        <v>38</v>
      </c>
      <c r="B46" s="3"/>
    </row>
    <row r="47" spans="1:13" x14ac:dyDescent="0.35">
      <c r="A47" t="s">
        <v>22</v>
      </c>
      <c r="B47" s="3"/>
    </row>
    <row r="48" spans="1:13" x14ac:dyDescent="0.35">
      <c r="A48" t="s">
        <v>1</v>
      </c>
      <c r="B48" s="3"/>
    </row>
    <row r="49" spans="1:10" ht="29" x14ac:dyDescent="0.35">
      <c r="B49" s="1" t="s">
        <v>41</v>
      </c>
      <c r="C49" s="1" t="s">
        <v>42</v>
      </c>
      <c r="D49" s="1" t="s">
        <v>43</v>
      </c>
      <c r="E49" s="1" t="s">
        <v>44</v>
      </c>
      <c r="F49" s="1" t="s">
        <v>85</v>
      </c>
      <c r="G49" s="1" t="s">
        <v>35</v>
      </c>
      <c r="H49" s="19" t="s">
        <v>86</v>
      </c>
      <c r="I49" s="1" t="s">
        <v>45</v>
      </c>
    </row>
    <row r="50" spans="1:10" ht="15" customHeight="1" x14ac:dyDescent="0.45">
      <c r="A50" t="s">
        <v>70</v>
      </c>
      <c r="B50" s="3"/>
      <c r="C50" s="3"/>
      <c r="D50" s="3"/>
      <c r="E50" s="3"/>
      <c r="F50" s="3"/>
      <c r="G50" t="str">
        <f>IFERROR(ROUND(AVERAGE(B50,C50,D50,E50,F50),3),"-")</f>
        <v>-</v>
      </c>
    </row>
    <row r="51" spans="1:10" ht="16.5" x14ac:dyDescent="0.45">
      <c r="A51" t="s">
        <v>71</v>
      </c>
      <c r="B51" s="3"/>
      <c r="C51" s="3"/>
      <c r="D51" s="3"/>
      <c r="E51" s="3"/>
      <c r="F51" s="3"/>
      <c r="G51" s="7" t="str">
        <f>IFERROR(ROUND(AVERAGE(B51,C51,D51,E51,F51),1),"-")</f>
        <v>-</v>
      </c>
    </row>
    <row r="52" spans="1:10" x14ac:dyDescent="0.35">
      <c r="A52" t="s">
        <v>51</v>
      </c>
      <c r="B52" s="3"/>
      <c r="C52" s="3"/>
      <c r="D52" s="3"/>
      <c r="E52" s="3"/>
      <c r="F52" s="3"/>
      <c r="G52" s="7" t="str">
        <f t="shared" ref="G52:G56" si="4">IFERROR(ROUND(AVERAGE(B52,C52,D52,E52,F52),1),"-")</f>
        <v>-</v>
      </c>
    </row>
    <row r="53" spans="1:10" x14ac:dyDescent="0.35">
      <c r="A53" t="s">
        <v>52</v>
      </c>
      <c r="B53" s="3"/>
      <c r="C53" s="3"/>
      <c r="D53" s="3"/>
      <c r="E53" s="3"/>
      <c r="F53" s="3"/>
      <c r="G53" s="7" t="str">
        <f t="shared" si="4"/>
        <v>-</v>
      </c>
    </row>
    <row r="54" spans="1:10" ht="16.5" x14ac:dyDescent="0.45">
      <c r="A54" t="s">
        <v>72</v>
      </c>
      <c r="B54" s="3"/>
      <c r="C54" s="3"/>
      <c r="D54" s="3"/>
      <c r="E54" s="3"/>
      <c r="F54" s="3"/>
      <c r="G54" s="7" t="str">
        <f t="shared" si="4"/>
        <v>-</v>
      </c>
    </row>
    <row r="55" spans="1:10" ht="15" customHeight="1" x14ac:dyDescent="0.35">
      <c r="A55" s="18" t="s">
        <v>73</v>
      </c>
      <c r="B55" s="3"/>
      <c r="C55" s="3"/>
      <c r="D55" s="3"/>
      <c r="E55" s="3"/>
      <c r="F55" s="3"/>
      <c r="G55" s="7" t="str">
        <f t="shared" si="4"/>
        <v>-</v>
      </c>
      <c r="H55" s="7" t="str">
        <f>IFERROR(ROUND(STDEV(B55,C55,D55,E55,F55),3),"-")</f>
        <v>-</v>
      </c>
      <c r="I55" s="14" t="str">
        <f>IFERROR(ROUND((H55/G55),3),"")</f>
        <v/>
      </c>
    </row>
    <row r="56" spans="1:10" ht="17.5" x14ac:dyDescent="0.45">
      <c r="A56" t="s">
        <v>74</v>
      </c>
      <c r="B56" s="3"/>
      <c r="C56" s="3"/>
      <c r="D56" s="3"/>
      <c r="E56" s="3"/>
      <c r="F56" s="3"/>
      <c r="G56" s="7" t="str">
        <f t="shared" si="4"/>
        <v>-</v>
      </c>
      <c r="H56" s="7" t="str">
        <f>IFERROR(ROUND(STDEV(B56,C56,D56,E56,F56),3),"-")</f>
        <v>-</v>
      </c>
      <c r="I56" s="14" t="str">
        <f>IFERROR(ROUND((H56/G56),3),"")</f>
        <v/>
      </c>
    </row>
    <row r="57" spans="1:10" ht="16.5" x14ac:dyDescent="0.45">
      <c r="A57" s="16" t="s">
        <v>53</v>
      </c>
      <c r="B57" s="15" t="str">
        <f>IF(AND(B56&lt;&gt;"",B53&lt;&gt;"",B52&lt;&gt;""),ROUND(B56*B53*B52*10^-6,1),"-")</f>
        <v>-</v>
      </c>
      <c r="C57" s="15" t="str">
        <f t="shared" ref="C57:F57" si="5">IF(AND(C56&lt;&gt;"",C53&lt;&gt;"",C52&lt;&gt;""),ROUND(C56*C53*C52*10^-6,1),"-")</f>
        <v>-</v>
      </c>
      <c r="D57" s="15" t="str">
        <f t="shared" si="5"/>
        <v>-</v>
      </c>
      <c r="E57" s="15" t="str">
        <f t="shared" si="5"/>
        <v>-</v>
      </c>
      <c r="F57" s="15" t="str">
        <f t="shared" si="5"/>
        <v>-</v>
      </c>
      <c r="G57" s="7" t="str">
        <f>IFERROR(ROUND(AVERAGE(B57,C57,D57,E57,F57),1),"-")</f>
        <v>-</v>
      </c>
      <c r="H57" s="7" t="str">
        <f>IFERROR(ROUND(STDEV(B57,C57,D57,E57,F57),3),"-")</f>
        <v>-</v>
      </c>
      <c r="I57" s="14" t="str">
        <f>IFERROR(ROUND((H57/G57),3),"")</f>
        <v/>
      </c>
    </row>
    <row r="58" spans="1:10" ht="15.75" customHeight="1" x14ac:dyDescent="0.35">
      <c r="A58" t="s">
        <v>48</v>
      </c>
      <c r="B58" s="3"/>
      <c r="C58" s="3"/>
      <c r="D58" s="3"/>
      <c r="E58" s="3"/>
      <c r="F58" s="3"/>
      <c r="G58" s="7" t="str">
        <f>IFERROR(ROUND(AVERAGE(B58,C58,D58,E58,F58),1),"-")</f>
        <v>-</v>
      </c>
      <c r="H58" s="7" t="str">
        <f>IFERROR(ROUND(STDEV(B58,C58,D58,E58,F58),1),"-")</f>
        <v>-</v>
      </c>
      <c r="I58" s="14" t="str">
        <f>IFERROR(ROUND((H58/G58),3),"")</f>
        <v/>
      </c>
      <c r="J58" s="1"/>
    </row>
  </sheetData>
  <sheetProtection algorithmName="SHA-512" hashValue="Qs+urroSTo7p7PlYolhr84v7LDnxUdyp3CWazBr1h/dCRA2OCU12v/Rpx16WUEkEMVqZuVyJEYJzoitRhReOBQ==" saltValue="iB++m2i5/bLmx/AQFjaIRw==" spinCount="100000" sheet="1" objects="1" scenarios="1"/>
  <mergeCells count="2">
    <mergeCell ref="A1:H1"/>
    <mergeCell ref="A2:H2"/>
  </mergeCells>
  <dataValidations xWindow="359" yWindow="644" count="6">
    <dataValidation allowBlank="1" showInputMessage="1" showErrorMessage="1" prompt="Enter &quot;N/A&quot; if the SIP is being reported as &quot;N/A&quot;_x000a_" sqref="B20:D20" xr:uid="{4CA48D80-7CC8-4534-B553-153C30AAF1E1}"/>
    <dataValidation allowBlank="1" showInputMessage="1" showErrorMessage="1" promptTitle="AASHTO Definition" prompt="Per AASHTO T 324, the maximum rut depth is considered the average rut depth at the middle five (5) deformation locations in the wheel path." sqref="B17:D17" xr:uid="{8B00BC7D-3D6B-4F90-B768-DFE17E31D355}"/>
    <dataValidation allowBlank="1" showInputMessage="1" showErrorMessage="1" prompt="Report as &quot;N/A&quot; for the following scenarios:_x000a__x000a_1. No SIP is calculated in the machine software_x000a_2. The SIP calculated in the machine software is a negative value_x000a_3. The SIP calculated in the machine software is greater than 20,000 passes" sqref="B19:D19" xr:uid="{29864AA3-EC48-41E5-BDAE-EDA7ABD06C37}"/>
    <dataValidation allowBlank="1" showInputMessage="1" showErrorMessage="1" prompt="Enter &quot;N/A&quot; if the SIP is being reported as &quot;N/A&quot;" sqref="C20" xr:uid="{17D618CC-206C-4C32-83AD-E896E62282D1}"/>
    <dataValidation allowBlank="1" showInputMessage="1" showErrorMessage="1" promptTitle="Directions" prompt="If the machine determines stripping and/or moisture damage is occurring, enter the creep slope as a positive number. Do not enter as a negative number._x000a__x000a_If no stripping or moisture damage is present, enter &quot;N/A&quot;" sqref="B22:D22" xr:uid="{F3906E09-8871-4093-AC01-E2A673EAF9EC}"/>
    <dataValidation allowBlank="1" showInputMessage="1" showErrorMessage="1" promptTitle="Directions" prompt="If the machine determines stripping and/or moisture damage is occurring, enter the strip slope as a positive number. Do not enter as a negative number._x000a__x000a_If no stripping or moisture damage is present, enter &quot;N/A&quot;" sqref="B21:D21" xr:uid="{407C9398-6B62-4064-94A8-4881CA7FC0C0}"/>
  </dataValidations>
  <pageMargins left="0.7" right="0.7" top="0.75" bottom="0.75" header="0.3" footer="0.3"/>
  <pageSetup scale="68" orientation="portrait" r:id="rId1"/>
  <colBreaks count="1" manualBreakCount="1">
    <brk id="8"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Superpave Tests</vt:lpstr>
      <vt:lpstr>Performance Tests</vt:lpstr>
      <vt:lpstr>'Performance Tests'!Print_Area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Anderson, Ian</dc:creator>
  <cp:lastModifiedBy>Schwartz, Aaron</cp:lastModifiedBy>
  <dcterms:created xsi:type="dcterms:W3CDTF">2022-04-13T13:08:07Z</dcterms:created>
  <dcterms:modified xsi:type="dcterms:W3CDTF">2025-03-06T19:47:22Z</dcterms:modified>
</cp:coreProperties>
</file>